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<sst xmlns="http://schemas.openxmlformats.org/spreadsheetml/2006/main" count="2238" uniqueCount="299">
  <si>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</si>
  <si>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</si>
  <si>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</si>
  <si>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</si>
  <si>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</si>
  <si>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</si>
  <si>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</si>
  <si>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</si>
  <si>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</si>
  <si>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</si>
  <si>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</si>
  <si>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</si>
  <si>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</si>
  <si>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</si>
  <si>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</si>
  <si>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</si>
  <si>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</si>
  <si>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</si>
  <si>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</si>
  <si>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</si>
  <si>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</si>
  <si>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</si>
  <si>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</si>
  <si>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</si>
  <si>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</si>
  <si>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</si>
  <si>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</si>
  <si>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</si>
  <si>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</si>
  <si>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</si>
  <si>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</si>
  <si>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</si>
  <si>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</si>
  <si>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</si>
  <si>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</si>
  <si>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</si>
  <si>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</si>
  <si>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</si>
  <si>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</si>
  <si>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</si>
  <si>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</si>
  <si>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</si>
  <si>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</si>
  <si>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</si>
  <si>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</si>
  <si>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</si>
  <si>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</si>
  <si>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</si>
  <si>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</si>
  <si>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</si>
  <si>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</si>
  <si>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</si>
  <si>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</si>
  <si>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</si>
  <si>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</si>
  <si>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</si>
  <si>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</si>
  <si>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</si>
  <si>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</si>
  <si>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</si>
  <si>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</si>
  <si>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</si>
  <si>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</si>
  <si>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</si>
  <si>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</si>
  <si>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</si>
  <si>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</si>
  <si>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</si>
  <si>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</si>
  <si>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</si>
  <si>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</si>
  <si>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</si>
  <si>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</si>
  <si>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</si>
  <si>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</si>
  <si>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</si>
  <si>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</si>
  <si>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</si>
  <si>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</si>
  <si>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</si>
  <si>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</si>
  <si>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</si>
  <si>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</si>
  <si>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</si>
  <si>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</si>
  <si>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</si>
  <si>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</si>
  <si>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</si>
  <si>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</si>
  <si>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</si>
  <si>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</si>
  <si>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</si>
  <si>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</si>
  <si>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</si>
  <si>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</si>
  <si>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</si>
  <si>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</si>
  <si>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</si>
  <si>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</si>
  <si>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</si>
  <si>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</si>
  <si>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</si>
  <si>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</si>
  <si>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</si>
  <si>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</si>
  <si>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</si>
  <si>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</si>
  <si>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</si>
  <si>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</si>
  <si>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</si>
  <si>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</si>
  <si>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</si>
  <si>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</si>
  <si>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</si>
  <si>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</si>
  <si>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</si>
  <si>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</si>
  <si>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</si>
  <si>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</si>
  <si>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</si>
  <si>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</si>
  <si>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</si>
  <si>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</si>
  <si>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</si>
  <si>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</si>
  <si>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</si>
  <si>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</si>
  <si>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</si>
  <si>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</si>
  <si>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</si>
  <si>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</si>
  <si>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</si>
  <si>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</si>
  <si>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</si>
  <si>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</si>
  <si>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</si>
  <si>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</si>
  <si>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</si>
  <si>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</si>
  <si>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</si>
  <si>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</si>
  <si>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</si>
  <si>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</si>
  <si>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</si>
  <si>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</si>
  <si>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</si>
  <si>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</si>
  <si>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</si>
  <si>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</si>
  <si>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</si>
  <si>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</si>
  <si>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</si>
  <si>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</si>
  <si>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</si>
  <si>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</si>
  <si>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</si>
  <si>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</si>
  <si>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</si>
  <si>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</si>
  <si>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</si>
  <si>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</si>
  <si>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</si>
  <si>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</si>
  <si>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</si>
  <si>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</si>
  <si>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</si>
  <si>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</si>
  <si>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</si>
  <si>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</si>
  <si>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</si>
  <si>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</si>
  <si>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</si>
  <si>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</si>
  <si>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</si>
  <si>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</si>
  <si>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</si>
  <si>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</si>
  <si>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</si>
  <si>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</si>
  <si>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</si>
  <si>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</si>
  <si>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</si>
  <si>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</si>
  <si>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</si>
  <si>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</si>
  <si>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</si>
  <si>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</si>
  <si>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</si>
  <si>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</si>
  <si>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</si>
  <si>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</si>
  <si>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</si>
  <si>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</si>
  <si>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</si>
  <si>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</si>
  <si>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</si>
  <si>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</si>
  <si>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</si>
  <si>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</si>
  <si>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</si>
  <si>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</si>
  <si>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</si>
  <si>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</si>
  <si>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</si>
  <si>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</si>
  <si>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</si>
  <si>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</si>
  <si>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</si>
  <si>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</si>
  <si>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</si>
  <si>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</si>
  <si>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</si>
  <si>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</si>
  <si>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</si>
  <si>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</si>
  <si>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</si>
  <si>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</si>
  <si>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</si>
  <si>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</si>
  <si>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</si>
  <si>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</si>
  <si>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</si>
  <si>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</si>
  <si>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</si>
  <si>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</si>
  <si>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</si>
  <si>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</si>
  <si>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</si>
  <si>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</si>
  <si>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</si>
  <si>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</si>
  <si>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</si>
  <si>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</si>
  <si>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</si>
  <si>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</si>
  <si>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</si>
  <si>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</si>
  <si>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</si>
  <si>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</si>
  <si>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</si>
  <si>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</si>
  <si>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</si>
  <si>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</si>
  <si>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</si>
  <si>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</si>
  <si>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</si>
  <si>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</si>
  <si>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</si>
  <si>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</si>
  <si>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</si>
  <si>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</si>
  <si>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</si>
  <si>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</si>
  <si>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</si>
  <si>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</si>
  <si>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</si>
  <si>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</si>
  <si>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</si>
  <si>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</si>
  <si>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</si>
  <si>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</si>
  <si>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</si>
  <si>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</si>
  <si>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</si>
  <si>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</si>
  <si>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</si>
  <si>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</si>
  <si>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</si>
  <si>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</si>
  <si>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</si>
  <si>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</si>
  <si>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</si>
  <si>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</si>
  <si>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</si>
  <si>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</si>
  <si>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</si>
  <si>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</si>
  <si>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</si>
  <si>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</si>
  <si>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</si>
  <si>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</si>
  <si>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</si>
  <si>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</si>
  <si>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</si>
  <si>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</si>
  <si>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</si>
  <si>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</si>
  <si>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</si>
  <si>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</si>
  <si>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</si>
  <si>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</si>
  <si>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</si>
  <si>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</si>
  <si>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</si>
  <si>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</si>
  <si>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</si>
  <si>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</si>
  <si>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</si>
  <si>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28.11.14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</si>
</sst>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1"/>
      <sheetName val="депозит"/>
      <sheetName val="залишки  (2)"/>
      <sheetName val="надх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грудень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8909732.21</v>
          </cell>
        </row>
      </sheetData>
      <sheetData sheetId="14">
        <row r="52">
          <cell r="B52">
            <v>11457696.189999998</v>
          </cell>
        </row>
      </sheetData>
      <sheetData sheetId="23">
        <row r="28">
          <cell r="C28">
            <v>4870376.3</v>
          </cell>
        </row>
      </sheetData>
      <sheetData sheetId="24">
        <row r="28">
          <cell r="C28">
            <v>3219411</v>
          </cell>
        </row>
      </sheetData>
      <sheetData sheetId="25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48" sqref="H148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297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294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291</v>
      </c>
      <c r="H4" s="206" t="s">
        <v>280</v>
      </c>
      <c r="I4" s="202" t="s">
        <v>188</v>
      </c>
      <c r="J4" s="208" t="s">
        <v>189</v>
      </c>
      <c r="K4" s="195" t="s">
        <v>292</v>
      </c>
      <c r="L4" s="196"/>
      <c r="M4" s="216"/>
      <c r="N4" s="200" t="s">
        <v>298</v>
      </c>
      <c r="O4" s="202" t="s">
        <v>136</v>
      </c>
      <c r="P4" s="202" t="s">
        <v>135</v>
      </c>
      <c r="Q4" s="195" t="s">
        <v>296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290</v>
      </c>
      <c r="F5" s="219"/>
      <c r="G5" s="205"/>
      <c r="H5" s="207"/>
      <c r="I5" s="203"/>
      <c r="J5" s="209"/>
      <c r="K5" s="197"/>
      <c r="L5" s="198"/>
      <c r="M5" s="151" t="s">
        <v>293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428715.06000000006</v>
      </c>
      <c r="G8" s="22">
        <f aca="true" t="shared" si="0" ref="G8:G30">F8-E8</f>
        <v>-2542.969999999914</v>
      </c>
      <c r="H8" s="51">
        <f>F8/E8*100</f>
        <v>99.4103367768016</v>
      </c>
      <c r="I8" s="36">
        <f aca="true" t="shared" si="1" ref="I8:I17">F8-D8</f>
        <v>-59761.23999999993</v>
      </c>
      <c r="J8" s="36">
        <f aca="true" t="shared" si="2" ref="J8:J14">F8/D8*100</f>
        <v>87.76578515682338</v>
      </c>
      <c r="K8" s="36">
        <f>F8-421084.1</f>
        <v>7630.960000000079</v>
      </c>
      <c r="L8" s="136">
        <f>F8/421084.1</f>
        <v>1.0181221755939018</v>
      </c>
      <c r="M8" s="22">
        <f>M10+M19+M33+M56+M68+M30</f>
        <v>40254.39000000002</v>
      </c>
      <c r="N8" s="22">
        <f>N10+N19+N33+N56+N68+N30</f>
        <v>39955.81000000002</v>
      </c>
      <c r="O8" s="36">
        <f aca="true" t="shared" si="3" ref="O8:O71">N8-M8</f>
        <v>-298.58000000000175</v>
      </c>
      <c r="P8" s="36">
        <f>F8/M8*100</f>
        <v>1065.0144245136985</v>
      </c>
      <c r="Q8" s="36">
        <f>N8-39535.7</f>
        <v>420.1100000000224</v>
      </c>
      <c r="R8" s="134">
        <f>N8/39535.7</f>
        <v>1.0106260923671522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349197.38</v>
      </c>
      <c r="G9" s="22">
        <f t="shared" si="0"/>
        <v>349197.38</v>
      </c>
      <c r="H9" s="20"/>
      <c r="I9" s="56">
        <f t="shared" si="1"/>
        <v>-37815.82000000001</v>
      </c>
      <c r="J9" s="56">
        <f t="shared" si="2"/>
        <v>90.22880356535643</v>
      </c>
      <c r="K9" s="56"/>
      <c r="L9" s="135"/>
      <c r="M9" s="20">
        <f>M10+M17</f>
        <v>32301.900000000023</v>
      </c>
      <c r="N9" s="20">
        <f>N10+N17</f>
        <v>33175.19</v>
      </c>
      <c r="O9" s="36">
        <f t="shared" si="3"/>
        <v>873.289999999979</v>
      </c>
      <c r="P9" s="56">
        <f>F9/M9*100</f>
        <v>1081.0428488726661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349197.38</v>
      </c>
      <c r="G10" s="49">
        <f t="shared" si="0"/>
        <v>-2810.6199999999953</v>
      </c>
      <c r="H10" s="40">
        <f aca="true" t="shared" si="4" ref="H10:H17">F10/E10*100</f>
        <v>99.2015465557601</v>
      </c>
      <c r="I10" s="56">
        <f t="shared" si="1"/>
        <v>-37815.82000000001</v>
      </c>
      <c r="J10" s="56">
        <f t="shared" si="2"/>
        <v>90.22880356535643</v>
      </c>
      <c r="K10" s="141">
        <f>F10-334336.4</f>
        <v>14860.979999999981</v>
      </c>
      <c r="L10" s="142">
        <f>F10/334336.4</f>
        <v>1.0444491835169607</v>
      </c>
      <c r="M10" s="40">
        <f>E10-жовтень!E10</f>
        <v>32301.900000000023</v>
      </c>
      <c r="N10" s="40">
        <f>F10-жовтень!F10</f>
        <v>33175.19</v>
      </c>
      <c r="O10" s="53">
        <f t="shared" si="3"/>
        <v>873.289999999979</v>
      </c>
      <c r="P10" s="56">
        <f aca="true" t="shared" si="5" ref="P10:P17">N10/M10*100</f>
        <v>102.70352517963333</v>
      </c>
      <c r="Q10" s="141">
        <f>N10-32243.9</f>
        <v>931.2900000000009</v>
      </c>
      <c r="R10" s="142">
        <f>N10/32243.9</f>
        <v>1.0288826723814428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-1352.56</v>
      </c>
      <c r="G19" s="49">
        <f t="shared" si="0"/>
        <v>-2432.16</v>
      </c>
      <c r="H19" s="40">
        <f aca="true" t="shared" si="6" ref="H19:H29">F19/E19*100</f>
        <v>-125.28343831048537</v>
      </c>
      <c r="I19" s="56">
        <f aca="true" t="shared" si="7" ref="I19:I29">F19-D19</f>
        <v>-2352.56</v>
      </c>
      <c r="J19" s="56">
        <f aca="true" t="shared" si="8" ref="J19:J29">F19/D19*100</f>
        <v>-135.256</v>
      </c>
      <c r="K19" s="167">
        <f>F19-7207</f>
        <v>-8559.56</v>
      </c>
      <c r="L19" s="168">
        <f>F19/7207</f>
        <v>-0.18767309560149853</v>
      </c>
      <c r="M19" s="40">
        <f>E19-жовтень!E19</f>
        <v>12</v>
      </c>
      <c r="N19" s="40">
        <f>F19-жовтень!F19</f>
        <v>-471.66999999999996</v>
      </c>
      <c r="O19" s="53">
        <f t="shared" si="3"/>
        <v>-483.66999999999996</v>
      </c>
      <c r="P19" s="56">
        <f aca="true" t="shared" si="9" ref="P19:P29">N19/M19*100</f>
        <v>-3930.583333333333</v>
      </c>
      <c r="Q19" s="56">
        <f>N19-363.4</f>
        <v>-835.0699999999999</v>
      </c>
      <c r="R19" s="135">
        <f>N19/363.4</f>
        <v>-1.297936158503027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-869.42</v>
      </c>
      <c r="G29" s="49">
        <f t="shared" si="0"/>
        <v>-1689.02</v>
      </c>
      <c r="H29" s="40">
        <f t="shared" si="6"/>
        <v>-106.07857491459247</v>
      </c>
      <c r="I29" s="56">
        <f t="shared" si="7"/>
        <v>-1799.42</v>
      </c>
      <c r="J29" s="56">
        <f t="shared" si="8"/>
        <v>-93.48602150537634</v>
      </c>
      <c r="K29" s="148">
        <f>F29-3580.01</f>
        <v>-4449.43</v>
      </c>
      <c r="L29" s="149">
        <f>F29/3580.01</f>
        <v>-0.24285407024002723</v>
      </c>
      <c r="M29" s="40">
        <f>E29-жовтень!E29</f>
        <v>12</v>
      </c>
      <c r="N29" s="40">
        <f>F29-жовтень!F29</f>
        <v>-487.52</v>
      </c>
      <c r="O29" s="148">
        <f t="shared" si="3"/>
        <v>-499.52</v>
      </c>
      <c r="P29" s="145">
        <f t="shared" si="9"/>
        <v>-4062.6666666666665</v>
      </c>
      <c r="Q29" s="148">
        <f>N29-664.71</f>
        <v>-1152.23</v>
      </c>
      <c r="R29" s="149">
        <f>N29/664.71</f>
        <v>-0.7334326247536519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74997.77</v>
      </c>
      <c r="G33" s="49">
        <f aca="true" t="shared" si="14" ref="G33:G72">F33-E33</f>
        <v>3084.340000000011</v>
      </c>
      <c r="H33" s="40">
        <f aca="true" t="shared" si="15" ref="H33:H67">F33/E33*100</f>
        <v>104.28896243719707</v>
      </c>
      <c r="I33" s="56">
        <f>F33-D33</f>
        <v>-18568.229999999996</v>
      </c>
      <c r="J33" s="56">
        <f aca="true" t="shared" si="16" ref="J33:J72">F33/D33*100</f>
        <v>80.15493875980592</v>
      </c>
      <c r="K33" s="141">
        <f>F33-73845.7</f>
        <v>1152.070000000007</v>
      </c>
      <c r="L33" s="142">
        <f>F33/73845.7</f>
        <v>1.0156010437980818</v>
      </c>
      <c r="M33" s="40">
        <f>E33-жовтень!E33</f>
        <v>7377.5899999999965</v>
      </c>
      <c r="N33" s="40">
        <f>F33-жовтень!F33</f>
        <v>6730.930000000008</v>
      </c>
      <c r="O33" s="53">
        <f t="shared" si="3"/>
        <v>-646.6599999999889</v>
      </c>
      <c r="P33" s="56">
        <f aca="true" t="shared" si="17" ref="P33:P67">N33/M33*100</f>
        <v>91.2348070304803</v>
      </c>
      <c r="Q33" s="141">
        <f>N33-6429.9</f>
        <v>301.03000000000793</v>
      </c>
      <c r="R33" s="142">
        <f>N33/6429.9</f>
        <v>1.0468172133314684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55750.15</v>
      </c>
      <c r="G55" s="144">
        <f t="shared" si="14"/>
        <v>2901.6200000000026</v>
      </c>
      <c r="H55" s="146">
        <f t="shared" si="15"/>
        <v>105.49044599726804</v>
      </c>
      <c r="I55" s="145">
        <f t="shared" si="18"/>
        <v>-14515.849999999999</v>
      </c>
      <c r="J55" s="145">
        <f t="shared" si="16"/>
        <v>79.34157344946347</v>
      </c>
      <c r="K55" s="148">
        <f>F55-53912.95</f>
        <v>1837.2000000000044</v>
      </c>
      <c r="L55" s="149">
        <f>F55/53912.95</f>
        <v>1.034077155859585</v>
      </c>
      <c r="M55" s="40">
        <f>E55-жовтень!E55</f>
        <v>5442.989999999998</v>
      </c>
      <c r="N55" s="40">
        <f>F55-жовтень!F55</f>
        <v>5045.5</v>
      </c>
      <c r="O55" s="148">
        <f t="shared" si="3"/>
        <v>-397.48999999999796</v>
      </c>
      <c r="P55" s="148">
        <f t="shared" si="17"/>
        <v>92.69721237775565</v>
      </c>
      <c r="Q55" s="160">
        <f>N55-4756.32</f>
        <v>289.1800000000003</v>
      </c>
      <c r="R55" s="161">
        <f>N55/4756.32</f>
        <v>1.0607991051905676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1.51+5837.61</f>
        <v>5839.12</v>
      </c>
      <c r="G56" s="49">
        <f t="shared" si="14"/>
        <v>-380.77999999999975</v>
      </c>
      <c r="H56" s="40">
        <f t="shared" si="15"/>
        <v>93.87803662438303</v>
      </c>
      <c r="I56" s="56">
        <f t="shared" si="18"/>
        <v>-1020.8800000000001</v>
      </c>
      <c r="J56" s="56">
        <f t="shared" si="16"/>
        <v>85.11836734693877</v>
      </c>
      <c r="K56" s="56">
        <f>F56-6560</f>
        <v>-720.8800000000001</v>
      </c>
      <c r="L56" s="135">
        <f>F56/6560</f>
        <v>0.8901097560975609</v>
      </c>
      <c r="M56" s="40">
        <f>E56-жовтень!E56</f>
        <v>553.3999999999996</v>
      </c>
      <c r="N56" s="40">
        <f>F56-жовтень!F56</f>
        <v>493.15999999999985</v>
      </c>
      <c r="O56" s="53">
        <f t="shared" si="3"/>
        <v>-60.23999999999978</v>
      </c>
      <c r="P56" s="56">
        <f t="shared" si="17"/>
        <v>89.1145645103</v>
      </c>
      <c r="Q56" s="56">
        <f>N56-486.5</f>
        <v>6.6599999999998545</v>
      </c>
      <c r="R56" s="135">
        <f>N56/486.5</f>
        <v>1.013689619732785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1.95</v>
      </c>
      <c r="G68" s="49">
        <f t="shared" si="14"/>
        <v>1.8499999999999999</v>
      </c>
      <c r="H68" s="40"/>
      <c r="I68" s="56">
        <f t="shared" si="18"/>
        <v>1.8499999999999999</v>
      </c>
      <c r="J68" s="56">
        <f t="shared" si="16"/>
        <v>1950</v>
      </c>
      <c r="K68" s="56">
        <f>F68-(-1.9)</f>
        <v>3.8499999999999996</v>
      </c>
      <c r="L68" s="135"/>
      <c r="M68" s="40">
        <f>E68-жовтень!E68</f>
        <v>0</v>
      </c>
      <c r="N68" s="40">
        <f>F68-жовтень!F68</f>
        <v>0.1499999999999999</v>
      </c>
      <c r="O68" s="53">
        <f t="shared" si="3"/>
        <v>0.1499999999999999</v>
      </c>
      <c r="P68" s="56"/>
      <c r="Q68" s="56">
        <f>N68-0.2</f>
        <v>-0.0500000000000001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11904.400000000001</v>
      </c>
      <c r="G74" s="50">
        <f aca="true" t="shared" si="24" ref="G74:G92">F74-E74</f>
        <v>-3372.5999999999985</v>
      </c>
      <c r="H74" s="51">
        <f aca="true" t="shared" si="25" ref="H74:H87">F74/E74*100</f>
        <v>77.92367611442039</v>
      </c>
      <c r="I74" s="36">
        <f aca="true" t="shared" si="26" ref="I74:I92">F74-D74</f>
        <v>-6453.899999999998</v>
      </c>
      <c r="J74" s="36">
        <f aca="true" t="shared" si="27" ref="J74:J92">F74/D74*100</f>
        <v>64.84478410310324</v>
      </c>
      <c r="K74" s="36">
        <f>F74-17827.8</f>
        <v>-5923.399999999998</v>
      </c>
      <c r="L74" s="136">
        <f>F74/17827.8</f>
        <v>0.6677436363432393</v>
      </c>
      <c r="M74" s="22">
        <f>M77+M86+M88+M89+M94+M95+M96+M97+M99+M87+M104</f>
        <v>1580.5</v>
      </c>
      <c r="N74" s="22">
        <f>N77+N86+N88+N89+N94+N95+N96+N97+N99+N32+N104+N87+N103</f>
        <v>1115.4900000000002</v>
      </c>
      <c r="O74" s="55">
        <f aca="true" t="shared" si="28" ref="O74:O92">N74-M74</f>
        <v>-465.00999999999976</v>
      </c>
      <c r="P74" s="36">
        <f>N74/M74*100</f>
        <v>70.57829800695984</v>
      </c>
      <c r="Q74" s="36">
        <f>N74-1502.5</f>
        <v>-387.00999999999976</v>
      </c>
      <c r="R74" s="136">
        <f>N74/1502.5</f>
        <v>0.7424226289517473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153.52</v>
      </c>
      <c r="G77" s="49">
        <f t="shared" si="24"/>
        <v>-6.47999999999999</v>
      </c>
      <c r="H77" s="40">
        <f t="shared" si="25"/>
        <v>95.95</v>
      </c>
      <c r="I77" s="56">
        <f t="shared" si="26"/>
        <v>-346.48</v>
      </c>
      <c r="J77" s="56">
        <f t="shared" si="27"/>
        <v>30.704000000000004</v>
      </c>
      <c r="K77" s="167">
        <f>F77-1728.8</f>
        <v>-1575.28</v>
      </c>
      <c r="L77" s="168">
        <f>F77/1728.8</f>
        <v>0.08880148079592783</v>
      </c>
      <c r="M77" s="40">
        <f>E77-жовтень!E77</f>
        <v>50</v>
      </c>
      <c r="N77" s="40">
        <f>F77-жовтень!F77</f>
        <v>30.070000000000007</v>
      </c>
      <c r="O77" s="53">
        <f t="shared" si="28"/>
        <v>-19.929999999999993</v>
      </c>
      <c r="P77" s="56">
        <f aca="true" t="shared" si="29" ref="P77:P87">N77/M77*100</f>
        <v>60.140000000000015</v>
      </c>
      <c r="Q77" s="56">
        <f>N77-11.1</f>
        <v>18.970000000000006</v>
      </c>
      <c r="R77" s="135">
        <f>N77/11.1</f>
        <v>2.70900900900901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242.79</v>
      </c>
      <c r="G87" s="49">
        <f t="shared" si="24"/>
        <v>22.789999999999992</v>
      </c>
      <c r="H87" s="40">
        <f t="shared" si="25"/>
        <v>110.35909090909091</v>
      </c>
      <c r="I87" s="56">
        <f t="shared" si="26"/>
        <v>-257.21000000000004</v>
      </c>
      <c r="J87" s="56">
        <f t="shared" si="27"/>
        <v>48.558</v>
      </c>
      <c r="K87" s="56">
        <f>F87-227.9</f>
        <v>14.889999999999986</v>
      </c>
      <c r="L87" s="135">
        <f>F87/227.9</f>
        <v>1.0653356735410267</v>
      </c>
      <c r="M87" s="40">
        <f>E87-жовтень!E87</f>
        <v>0</v>
      </c>
      <c r="N87" s="40">
        <f>F87-жовтень!F87</f>
        <v>-36.81000000000003</v>
      </c>
      <c r="O87" s="53">
        <f t="shared" si="28"/>
        <v>-36.81000000000003</v>
      </c>
      <c r="P87" s="56" t="e">
        <f t="shared" si="29"/>
        <v>#DIV/0!</v>
      </c>
      <c r="Q87" s="56">
        <f>N87-5.7</f>
        <v>-42.51000000000003</v>
      </c>
      <c r="R87" s="135">
        <f>N87/5.7</f>
        <v>-6.4578947368421105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5.94</v>
      </c>
      <c r="G88" s="49">
        <f t="shared" si="24"/>
        <v>1.4400000000000004</v>
      </c>
      <c r="H88" s="40">
        <f>F88/E88*100</f>
        <v>132</v>
      </c>
      <c r="I88" s="56">
        <f t="shared" si="26"/>
        <v>0.8400000000000007</v>
      </c>
      <c r="J88" s="56">
        <f t="shared" si="27"/>
        <v>116.47058823529413</v>
      </c>
      <c r="K88" s="56">
        <f>F88-4.9</f>
        <v>1.04</v>
      </c>
      <c r="L88" s="135"/>
      <c r="M88" s="40">
        <f>E88-жовтень!E88</f>
        <v>0.5</v>
      </c>
      <c r="N88" s="40">
        <f>F88-жовтень!F88</f>
        <v>0.34000000000000075</v>
      </c>
      <c r="O88" s="53">
        <f t="shared" si="28"/>
        <v>-0.15999999999999925</v>
      </c>
      <c r="P88" s="56">
        <f>N88/M88*100</f>
        <v>68.00000000000014</v>
      </c>
      <c r="Q88" s="56">
        <f>N88-0.5</f>
        <v>-0.15999999999999925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121.56</v>
      </c>
      <c r="G89" s="49">
        <f t="shared" si="24"/>
        <v>-37.44</v>
      </c>
      <c r="H89" s="40">
        <f>F89/E89*100</f>
        <v>76.45283018867924</v>
      </c>
      <c r="I89" s="56">
        <f t="shared" si="26"/>
        <v>-53.44</v>
      </c>
      <c r="J89" s="56">
        <f t="shared" si="27"/>
        <v>69.46285714285715</v>
      </c>
      <c r="K89" s="56">
        <f>F89-147.9</f>
        <v>-26.340000000000003</v>
      </c>
      <c r="L89" s="135">
        <f>F89/147.9</f>
        <v>0.8219066937119676</v>
      </c>
      <c r="M89" s="40">
        <f>E89-жовтень!E89</f>
        <v>15</v>
      </c>
      <c r="N89" s="40">
        <f>F89-жовтень!F89</f>
        <v>9.11</v>
      </c>
      <c r="O89" s="53">
        <f t="shared" si="28"/>
        <v>-5.890000000000001</v>
      </c>
      <c r="P89" s="56">
        <f>N89/M89*100</f>
        <v>60.73333333333333</v>
      </c>
      <c r="Q89" s="56">
        <f>N89-10.4</f>
        <v>-1.290000000000001</v>
      </c>
      <c r="R89" s="135">
        <f>N89/10.4</f>
        <v>0.8759615384615383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6573.91</v>
      </c>
      <c r="G95" s="49">
        <f t="shared" si="31"/>
        <v>167.40999999999985</v>
      </c>
      <c r="H95" s="40">
        <f>F95/E95*100</f>
        <v>102.61312729259346</v>
      </c>
      <c r="I95" s="56">
        <f t="shared" si="32"/>
        <v>-426.09000000000015</v>
      </c>
      <c r="J95" s="56">
        <f>F95/D95*100</f>
        <v>93.913</v>
      </c>
      <c r="K95" s="56">
        <f>F95-6761</f>
        <v>-187.09000000000015</v>
      </c>
      <c r="L95" s="135">
        <f>F95/6761</f>
        <v>0.9723280579795888</v>
      </c>
      <c r="M95" s="40">
        <f>E95-жовтень!E95</f>
        <v>575</v>
      </c>
      <c r="N95" s="40">
        <f>F95-жовтень!F95</f>
        <v>636.7600000000002</v>
      </c>
      <c r="O95" s="53">
        <f t="shared" si="33"/>
        <v>61.76000000000022</v>
      </c>
      <c r="P95" s="56">
        <f>N95/M95*100</f>
        <v>110.74086956521742</v>
      </c>
      <c r="Q95" s="56">
        <f>N95-591</f>
        <v>45.76000000000022</v>
      </c>
      <c r="R95" s="135">
        <f>N95/591</f>
        <v>1.077428087986464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975.44</v>
      </c>
      <c r="G96" s="49">
        <f t="shared" si="31"/>
        <v>-39.059999999999945</v>
      </c>
      <c r="H96" s="40">
        <f>F96/E96*100</f>
        <v>96.14982750123214</v>
      </c>
      <c r="I96" s="56">
        <f t="shared" si="32"/>
        <v>-224.55999999999995</v>
      </c>
      <c r="J96" s="56">
        <f>F96/D96*100</f>
        <v>81.28666666666668</v>
      </c>
      <c r="K96" s="56">
        <f>F96-1013.8</f>
        <v>-38.3599999999999</v>
      </c>
      <c r="L96" s="135">
        <f>F96/1013.8</f>
        <v>0.9621621621621622</v>
      </c>
      <c r="M96" s="40">
        <f>E96-жовтень!E96</f>
        <v>110</v>
      </c>
      <c r="N96" s="40">
        <f>F96-жовтень!F96</f>
        <v>110.2700000000001</v>
      </c>
      <c r="O96" s="53">
        <f t="shared" si="33"/>
        <v>0.2700000000000955</v>
      </c>
      <c r="P96" s="56">
        <f>N96/M96*100</f>
        <v>100.24545454545463</v>
      </c>
      <c r="Q96" s="56">
        <f>N96-83.7</f>
        <v>26.570000000000093</v>
      </c>
      <c r="R96" s="135">
        <f>N96/83.7</f>
        <v>1.3174432497013153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3812.69</v>
      </c>
      <c r="G99" s="49">
        <f t="shared" si="31"/>
        <v>145.69000000000005</v>
      </c>
      <c r="H99" s="40">
        <f>F99/E99*100</f>
        <v>103.97300245432233</v>
      </c>
      <c r="I99" s="56">
        <f t="shared" si="32"/>
        <v>-760.0099999999998</v>
      </c>
      <c r="J99" s="56">
        <f>F99/D99*100</f>
        <v>83.3794038533033</v>
      </c>
      <c r="K99" s="56">
        <f>F99-4178.8</f>
        <v>-366.1100000000001</v>
      </c>
      <c r="L99" s="135">
        <f>F99/4178.8</f>
        <v>0.9123887240356083</v>
      </c>
      <c r="M99" s="40">
        <f>E99-жовтень!E99</f>
        <v>330</v>
      </c>
      <c r="N99" s="40">
        <f>F99-жовтень!F99</f>
        <v>365.75</v>
      </c>
      <c r="O99" s="53">
        <f t="shared" si="33"/>
        <v>35.75</v>
      </c>
      <c r="P99" s="56">
        <f>N99/M99*100</f>
        <v>110.83333333333334</v>
      </c>
      <c r="Q99" s="56">
        <f>N99-332.8</f>
        <v>32.94999999999999</v>
      </c>
      <c r="R99" s="135">
        <f>N99/332.8</f>
        <v>1.0990084134615383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926.9</v>
      </c>
      <c r="G102" s="144"/>
      <c r="H102" s="146"/>
      <c r="I102" s="145"/>
      <c r="J102" s="145"/>
      <c r="K102" s="148">
        <f>F102-738.2</f>
        <v>188.69999999999993</v>
      </c>
      <c r="L102" s="149">
        <f>F102/738.2</f>
        <v>1.2556217827147114</v>
      </c>
      <c r="M102" s="40">
        <f>E102-жовтень!E102</f>
        <v>0</v>
      </c>
      <c r="N102" s="40">
        <f>F102-жовтень!F102</f>
        <v>88.39999999999998</v>
      </c>
      <c r="O102" s="53"/>
      <c r="P102" s="60"/>
      <c r="Q102" s="60">
        <f>N102-89.7</f>
        <v>-1.3000000000000256</v>
      </c>
      <c r="R102" s="138">
        <f>N102/89.7</f>
        <v>0.9855072463768113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-41.65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23.85</v>
      </c>
      <c r="G105" s="49">
        <f>F105-E105</f>
        <v>-6.349999999999998</v>
      </c>
      <c r="H105" s="40">
        <f>F105/E105*100</f>
        <v>78.97350993377485</v>
      </c>
      <c r="I105" s="56">
        <f t="shared" si="34"/>
        <v>-21.15</v>
      </c>
      <c r="J105" s="56">
        <f aca="true" t="shared" si="36" ref="J105:J110">F105/D105*100</f>
        <v>53</v>
      </c>
      <c r="K105" s="56">
        <f>F105-35.8</f>
        <v>-11.949999999999996</v>
      </c>
      <c r="L105" s="135">
        <f>F105/35.8</f>
        <v>0.6662011173184359</v>
      </c>
      <c r="M105" s="40">
        <f>E105-жовтень!E105</f>
        <v>3</v>
      </c>
      <c r="N105" s="40">
        <f>F105-жовтень!F105</f>
        <v>2.1400000000000006</v>
      </c>
      <c r="O105" s="53">
        <f t="shared" si="35"/>
        <v>-0.8599999999999994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440643.68000000005</v>
      </c>
      <c r="G107" s="175">
        <f>F107-E107</f>
        <v>-5921.54999999993</v>
      </c>
      <c r="H107" s="51">
        <f>F107/E107*100</f>
        <v>98.67397871527079</v>
      </c>
      <c r="I107" s="36">
        <f t="shared" si="34"/>
        <v>-66235.91999999993</v>
      </c>
      <c r="J107" s="36">
        <f t="shared" si="36"/>
        <v>86.9326127940442</v>
      </c>
      <c r="K107" s="36">
        <f>F107-438950.2</f>
        <v>1693.4800000000396</v>
      </c>
      <c r="L107" s="136">
        <f>F107/438950.2</f>
        <v>1.0038580230741438</v>
      </c>
      <c r="M107" s="22">
        <f>M8+M74+M105+M106</f>
        <v>41837.89000000002</v>
      </c>
      <c r="N107" s="152">
        <f>N8+N74+N105+N106</f>
        <v>41073.44000000002</v>
      </c>
      <c r="O107" s="55">
        <f t="shared" si="35"/>
        <v>-764.4500000000044</v>
      </c>
      <c r="P107" s="36">
        <f>N107/M107*100</f>
        <v>98.17282850545283</v>
      </c>
      <c r="Q107" s="36">
        <f>N107-41056.6</f>
        <v>16.840000000018335</v>
      </c>
      <c r="R107" s="136">
        <f>N107/41056.6</f>
        <v>1.000410165478876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350172.82</v>
      </c>
      <c r="G108" s="153">
        <f>G10-G18+G96</f>
        <v>-2849.6799999999953</v>
      </c>
      <c r="H108" s="72">
        <f>F108/E108*100</f>
        <v>99.19277666437691</v>
      </c>
      <c r="I108" s="52">
        <f t="shared" si="34"/>
        <v>-38040.380000000005</v>
      </c>
      <c r="J108" s="52">
        <f t="shared" si="36"/>
        <v>90.20116266010533</v>
      </c>
      <c r="K108" s="52">
        <f>F108-335439.2</f>
        <v>14733.619999999995</v>
      </c>
      <c r="L108" s="137">
        <f>F108/335439.2</f>
        <v>1.0439233697194603</v>
      </c>
      <c r="M108" s="71">
        <f>M10-M18+M96</f>
        <v>32411.900000000023</v>
      </c>
      <c r="N108" s="153">
        <f>N10-N18+N96</f>
        <v>33285.46</v>
      </c>
      <c r="O108" s="53">
        <f t="shared" si="35"/>
        <v>873.5599999999758</v>
      </c>
      <c r="P108" s="52">
        <f>N108/M108*100</f>
        <v>102.6951829420675</v>
      </c>
      <c r="Q108" s="52">
        <f>N108-32327.7</f>
        <v>957.7599999999984</v>
      </c>
      <c r="R108" s="137">
        <f>N108/32327.7</f>
        <v>1.0296266050476834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90470.86000000004</v>
      </c>
      <c r="G109" s="176">
        <f>F109-E109</f>
        <v>-3071.869999999937</v>
      </c>
      <c r="H109" s="72">
        <f>F109/E109*100</f>
        <v>96.71607830988049</v>
      </c>
      <c r="I109" s="52">
        <f t="shared" si="34"/>
        <v>-28195.53999999992</v>
      </c>
      <c r="J109" s="52">
        <f t="shared" si="36"/>
        <v>76.23966008912384</v>
      </c>
      <c r="K109" s="52">
        <f>F109-103511.1</f>
        <v>-13040.239999999962</v>
      </c>
      <c r="L109" s="137">
        <f>F109/103511.1</f>
        <v>0.874020853802153</v>
      </c>
      <c r="M109" s="71">
        <f>M107-M108</f>
        <v>9425.989999999998</v>
      </c>
      <c r="N109" s="153">
        <f>N107-N108</f>
        <v>7787.980000000018</v>
      </c>
      <c r="O109" s="53">
        <f t="shared" si="35"/>
        <v>-1638.0099999999802</v>
      </c>
      <c r="P109" s="52">
        <f>N109/M109*100</f>
        <v>82.6224088928592</v>
      </c>
      <c r="Q109" s="52">
        <f>N109-8729</f>
        <v>-941.0199999999822</v>
      </c>
      <c r="R109" s="137">
        <f>N109/8729</f>
        <v>0.8921961278496985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350172.82</v>
      </c>
      <c r="G110" s="111">
        <f>F110-E110</f>
        <v>1490.2200000000303</v>
      </c>
      <c r="H110" s="72">
        <f>F110/E110*100</f>
        <v>100.42738582309528</v>
      </c>
      <c r="I110" s="81">
        <f t="shared" si="34"/>
        <v>-38040.380000000005</v>
      </c>
      <c r="J110" s="52">
        <f t="shared" si="36"/>
        <v>90.20116266010533</v>
      </c>
      <c r="K110" s="52"/>
      <c r="L110" s="137"/>
      <c r="M110" s="72">
        <f>E110-жовтень!E110</f>
        <v>33441.899999999965</v>
      </c>
      <c r="N110" s="71">
        <f>N108</f>
        <v>33285.46</v>
      </c>
      <c r="O110" s="63">
        <f t="shared" si="35"/>
        <v>-156.43999999996595</v>
      </c>
      <c r="P110" s="52">
        <f>N110/M110*100</f>
        <v>99.5322036128331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0.55</v>
      </c>
      <c r="G114" s="49">
        <f aca="true" t="shared" si="37" ref="G114:G126">F114-E114</f>
        <v>0.55</v>
      </c>
      <c r="H114" s="40"/>
      <c r="I114" s="60">
        <f aca="true" t="shared" si="38" ref="I114:I125">F114-D114</f>
        <v>0.55</v>
      </c>
      <c r="J114" s="60"/>
      <c r="K114" s="60">
        <f>F114-20.7</f>
        <v>-20.15</v>
      </c>
      <c r="L114" s="138">
        <f>F114/20.7</f>
        <v>0.026570048309178747</v>
      </c>
      <c r="M114" s="40">
        <f>E114-жовтень!E114</f>
        <v>0</v>
      </c>
      <c r="N114" s="40">
        <f>F114-жовтень!F114</f>
        <v>0.5900000000000001</v>
      </c>
      <c r="O114" s="53"/>
      <c r="P114" s="60"/>
      <c r="Q114" s="60">
        <f>N114-(-0.8)</f>
        <v>1.3900000000000001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1484.81</v>
      </c>
      <c r="G115" s="49">
        <f t="shared" si="37"/>
        <v>-1849.5900000000001</v>
      </c>
      <c r="H115" s="40">
        <f aca="true" t="shared" si="39" ref="H115:H126">F115/E115*100</f>
        <v>44.53005038387715</v>
      </c>
      <c r="I115" s="60">
        <f t="shared" si="38"/>
        <v>-2186.69</v>
      </c>
      <c r="J115" s="60">
        <f aca="true" t="shared" si="40" ref="J115:J121">F115/D115*100</f>
        <v>40.441508920059924</v>
      </c>
      <c r="K115" s="60">
        <f>F115-3211.4</f>
        <v>-1726.5900000000001</v>
      </c>
      <c r="L115" s="138">
        <f>F115/3211.4</f>
        <v>0.4623559818147848</v>
      </c>
      <c r="M115" s="40">
        <f>E115-жовтень!E115</f>
        <v>327.4000000000001</v>
      </c>
      <c r="N115" s="40">
        <f>F115-жовтень!F115</f>
        <v>166.26</v>
      </c>
      <c r="O115" s="53">
        <f aca="true" t="shared" si="41" ref="O115:O126">N115-M115</f>
        <v>-161.1400000000001</v>
      </c>
      <c r="P115" s="60">
        <f>N115/M115*100</f>
        <v>50.78191814294439</v>
      </c>
      <c r="Q115" s="60">
        <f>N115-83.3</f>
        <v>82.96</v>
      </c>
      <c r="R115" s="138">
        <f>N115/83.3</f>
        <v>1.9959183673469387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284.81</v>
      </c>
      <c r="G116" s="49">
        <f t="shared" si="37"/>
        <v>40.31</v>
      </c>
      <c r="H116" s="40">
        <f t="shared" si="39"/>
        <v>116.48670756646217</v>
      </c>
      <c r="I116" s="60">
        <f t="shared" si="38"/>
        <v>16.70999999999998</v>
      </c>
      <c r="J116" s="60">
        <f t="shared" si="40"/>
        <v>106.23274897426333</v>
      </c>
      <c r="K116" s="60">
        <f>F116-245.6</f>
        <v>39.21000000000001</v>
      </c>
      <c r="L116" s="138">
        <f>F116/245.6</f>
        <v>1.1596498371335506</v>
      </c>
      <c r="M116" s="40">
        <f>E116-жовтень!E116</f>
        <v>22</v>
      </c>
      <c r="N116" s="40">
        <f>F116-жовтень!F116</f>
        <v>21.560000000000002</v>
      </c>
      <c r="O116" s="53">
        <f t="shared" si="41"/>
        <v>-0.4399999999999977</v>
      </c>
      <c r="P116" s="60">
        <f>N116/M116*100</f>
        <v>98.00000000000001</v>
      </c>
      <c r="Q116" s="60">
        <f>N116-24.1</f>
        <v>-2.539999999999999</v>
      </c>
      <c r="R116" s="138">
        <f>N116/24.1</f>
        <v>0.8946058091286307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1770.1699999999998</v>
      </c>
      <c r="G117" s="62">
        <f t="shared" si="37"/>
        <v>-1808.7300000000002</v>
      </c>
      <c r="H117" s="72">
        <f t="shared" si="39"/>
        <v>49.46128698762189</v>
      </c>
      <c r="I117" s="61">
        <f t="shared" si="38"/>
        <v>-2169.4300000000003</v>
      </c>
      <c r="J117" s="61">
        <f t="shared" si="40"/>
        <v>44.93273428774495</v>
      </c>
      <c r="K117" s="61">
        <f>F117-3477.6</f>
        <v>-1707.43</v>
      </c>
      <c r="L117" s="139">
        <f>F117/3477.6</f>
        <v>0.5090205889118933</v>
      </c>
      <c r="M117" s="62">
        <f>M115+M116+M114</f>
        <v>349.4000000000001</v>
      </c>
      <c r="N117" s="38">
        <f>SUM(N114:N116)</f>
        <v>188.41</v>
      </c>
      <c r="O117" s="61">
        <f t="shared" si="41"/>
        <v>-160.9900000000001</v>
      </c>
      <c r="P117" s="61">
        <f>N117/M117*100</f>
        <v>53.92386949055522</v>
      </c>
      <c r="Q117" s="61">
        <f>N117-106.6</f>
        <v>81.81</v>
      </c>
      <c r="R117" s="139">
        <f>N117/106.6</f>
        <v>1.7674484052532833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454.67</v>
      </c>
      <c r="G119" s="49">
        <f t="shared" si="37"/>
        <v>194.17000000000002</v>
      </c>
      <c r="H119" s="40">
        <f t="shared" si="39"/>
        <v>174.53742802303262</v>
      </c>
      <c r="I119" s="60">
        <f t="shared" si="38"/>
        <v>187.47000000000003</v>
      </c>
      <c r="J119" s="60">
        <f t="shared" si="40"/>
        <v>170.1609281437126</v>
      </c>
      <c r="K119" s="60">
        <f>F119-237.7</f>
        <v>216.97000000000003</v>
      </c>
      <c r="L119" s="138">
        <f>F119/237.7</f>
        <v>1.9127892301220026</v>
      </c>
      <c r="M119" s="40">
        <f>E119-жовтень!E119</f>
        <v>0</v>
      </c>
      <c r="N119" s="40">
        <f>F119-жовтень!F119</f>
        <v>17.670000000000016</v>
      </c>
      <c r="O119" s="53">
        <f>N119-M119</f>
        <v>17.670000000000016</v>
      </c>
      <c r="P119" s="60" t="e">
        <f>N119/M119*100</f>
        <v>#DIV/0!</v>
      </c>
      <c r="Q119" s="60">
        <f>N119-3.5</f>
        <v>14.170000000000016</v>
      </c>
      <c r="R119" s="138">
        <f>N119/3.5</f>
        <v>5.048571428571433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79317.8</v>
      </c>
      <c r="G120" s="49">
        <f t="shared" si="37"/>
        <v>10605.199999999997</v>
      </c>
      <c r="H120" s="40">
        <f t="shared" si="39"/>
        <v>115.43414162759088</v>
      </c>
      <c r="I120" s="53">
        <f t="shared" si="38"/>
        <v>7341.809999999998</v>
      </c>
      <c r="J120" s="60">
        <f t="shared" si="40"/>
        <v>110.20035987000665</v>
      </c>
      <c r="K120" s="60">
        <f>F120-66794.9</f>
        <v>12522.900000000009</v>
      </c>
      <c r="L120" s="138">
        <f>F120/66794.9</f>
        <v>1.1874828766866934</v>
      </c>
      <c r="M120" s="40">
        <f>E120-жовтень!E120</f>
        <v>8700.000000000007</v>
      </c>
      <c r="N120" s="40">
        <f>F120-жовтень!F120</f>
        <v>11460.520000000004</v>
      </c>
      <c r="O120" s="53">
        <f t="shared" si="41"/>
        <v>2760.519999999997</v>
      </c>
      <c r="P120" s="60">
        <f aca="true" t="shared" si="42" ref="P120:P125">N120/M120*100</f>
        <v>131.73011494252867</v>
      </c>
      <c r="Q120" s="60">
        <f>N120-8604.8</f>
        <v>2855.720000000005</v>
      </c>
      <c r="R120" s="138">
        <f>N120/8604.8</f>
        <v>1.3318752324284127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1921.61</v>
      </c>
      <c r="G121" s="49">
        <f t="shared" si="37"/>
        <v>-1439.5800000000002</v>
      </c>
      <c r="H121" s="40">
        <f t="shared" si="39"/>
        <v>57.17052591492894</v>
      </c>
      <c r="I121" s="60">
        <f t="shared" si="38"/>
        <v>-2828.3900000000003</v>
      </c>
      <c r="J121" s="60">
        <f t="shared" si="40"/>
        <v>40.45494736842105</v>
      </c>
      <c r="K121" s="60">
        <f>F121-1790.1</f>
        <v>131.51</v>
      </c>
      <c r="L121" s="138">
        <f>F121/1790.1</f>
        <v>1.0734651695436008</v>
      </c>
      <c r="M121" s="40">
        <f>E121-жовтень!E121</f>
        <v>161.78999999999996</v>
      </c>
      <c r="N121" s="40">
        <f>F121-жовтень!F121</f>
        <v>166.81999999999994</v>
      </c>
      <c r="O121" s="53">
        <f t="shared" si="41"/>
        <v>5.029999999999973</v>
      </c>
      <c r="P121" s="60">
        <f t="shared" si="42"/>
        <v>103.10896841584768</v>
      </c>
      <c r="Q121" s="60">
        <f>N121-500.5</f>
        <v>-333.68000000000006</v>
      </c>
      <c r="R121" s="138">
        <f>N121/500.5</f>
        <v>0.33330669330669316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3828.89</v>
      </c>
      <c r="G122" s="49">
        <f t="shared" si="37"/>
        <v>-16480.84</v>
      </c>
      <c r="H122" s="40">
        <f t="shared" si="39"/>
        <v>18.852490899682074</v>
      </c>
      <c r="I122" s="60">
        <f t="shared" si="38"/>
        <v>-19248.24</v>
      </c>
      <c r="J122" s="60">
        <f>F122/D122*100</f>
        <v>16.591707894352545</v>
      </c>
      <c r="K122" s="60">
        <f>F122-23492</f>
        <v>-19663.11</v>
      </c>
      <c r="L122" s="138">
        <f>F122/23492</f>
        <v>0.1629869742891197</v>
      </c>
      <c r="M122" s="40">
        <f>E122-жовтень!E122</f>
        <v>2733.5</v>
      </c>
      <c r="N122" s="40">
        <f>F122-жовтень!F122</f>
        <v>1066.79</v>
      </c>
      <c r="O122" s="53">
        <f t="shared" si="41"/>
        <v>-1666.71</v>
      </c>
      <c r="P122" s="60">
        <f t="shared" si="42"/>
        <v>39.026522773001645</v>
      </c>
      <c r="Q122" s="60">
        <f>N122-826.2</f>
        <v>240.58999999999992</v>
      </c>
      <c r="R122" s="138">
        <f>N122/826.2</f>
        <v>1.2912006778019849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2012.55</v>
      </c>
      <c r="G123" s="49">
        <f t="shared" si="37"/>
        <v>202.14999999999986</v>
      </c>
      <c r="H123" s="40">
        <f t="shared" si="39"/>
        <v>111.1660406539991</v>
      </c>
      <c r="I123" s="60">
        <f t="shared" si="38"/>
        <v>12.549999999999955</v>
      </c>
      <c r="J123" s="60">
        <f>F123/D123*100</f>
        <v>100.6275</v>
      </c>
      <c r="K123" s="60">
        <f>F123-1731.9</f>
        <v>280.64999999999986</v>
      </c>
      <c r="L123" s="138">
        <f>F123/1731.9</f>
        <v>1.1620474623246144</v>
      </c>
      <c r="M123" s="40">
        <f>E123-жовтень!E123</f>
        <v>189.59000000000015</v>
      </c>
      <c r="N123" s="40">
        <f>F123-жовтень!F123</f>
        <v>878.53</v>
      </c>
      <c r="O123" s="53">
        <f t="shared" si="41"/>
        <v>688.9399999999998</v>
      </c>
      <c r="P123" s="60">
        <f t="shared" si="42"/>
        <v>463.3841447333716</v>
      </c>
      <c r="Q123" s="60">
        <f>N123-9.2</f>
        <v>869.3299999999999</v>
      </c>
      <c r="R123" s="138">
        <f>N123/9.2</f>
        <v>95.49239130434783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87535.52</v>
      </c>
      <c r="G124" s="62">
        <f t="shared" si="37"/>
        <v>-6918.899999999994</v>
      </c>
      <c r="H124" s="72">
        <f t="shared" si="39"/>
        <v>92.67487958742429</v>
      </c>
      <c r="I124" s="61">
        <f t="shared" si="38"/>
        <v>-14534.800000000003</v>
      </c>
      <c r="J124" s="61">
        <f>F124/D124*100</f>
        <v>85.76001329279657</v>
      </c>
      <c r="K124" s="61">
        <f>F124-94046.5</f>
        <v>-6510.979999999996</v>
      </c>
      <c r="L124" s="139">
        <f>F124/94046.5</f>
        <v>0.9307685028150968</v>
      </c>
      <c r="M124" s="62">
        <f>M120+M121+M122+M123+M119</f>
        <v>11784.880000000008</v>
      </c>
      <c r="N124" s="62">
        <f>N120+N121+N122+N123+N119</f>
        <v>13590.330000000005</v>
      </c>
      <c r="O124" s="61">
        <f t="shared" si="41"/>
        <v>1805.449999999997</v>
      </c>
      <c r="P124" s="61">
        <f t="shared" si="42"/>
        <v>115.32005417110736</v>
      </c>
      <c r="Q124" s="61">
        <f>N124-9944.1</f>
        <v>3646.230000000005</v>
      </c>
      <c r="R124" s="139">
        <f>N124/9944.1</f>
        <v>1.3666727003952097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E125-жовтень!E125</f>
        <v>3.9999999999999964</v>
      </c>
      <c r="N125" s="40">
        <f>F125-жовтень!F125</f>
        <v>0</v>
      </c>
      <c r="O125" s="53">
        <f t="shared" si="41"/>
        <v>-3.9999999999999964</v>
      </c>
      <c r="P125" s="60">
        <f t="shared" si="42"/>
        <v>0</v>
      </c>
      <c r="Q125" s="60">
        <f>N125-0.2</f>
        <v>-0.2</v>
      </c>
      <c r="R125" s="138">
        <f>N125/0.2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E126-жовтень!E126</f>
        <v>0</v>
      </c>
      <c r="N126" s="40">
        <f>F126-жовтень!F126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E127-жовтень!E127</f>
        <v>0</v>
      </c>
      <c r="N127" s="40">
        <f>F127-жовтень!F127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8358.77</v>
      </c>
      <c r="G128" s="49">
        <f aca="true" t="shared" si="43" ref="G128:G135">F128-E128</f>
        <v>-340.22999999999956</v>
      </c>
      <c r="H128" s="40">
        <f>F128/E128*100</f>
        <v>96.08886078859639</v>
      </c>
      <c r="I128" s="60">
        <f aca="true" t="shared" si="44" ref="I128:I135">F128-D128</f>
        <v>-341.22999999999956</v>
      </c>
      <c r="J128" s="60">
        <f>F128/D128*100</f>
        <v>96.07781609195402</v>
      </c>
      <c r="K128" s="60">
        <f>F128-10826.4</f>
        <v>-2467.629999999999</v>
      </c>
      <c r="L128" s="138">
        <f>F128/10826.4</f>
        <v>0.7720728958841352</v>
      </c>
      <c r="M128" s="40">
        <f>E128-жовтень!E128</f>
        <v>1978.5</v>
      </c>
      <c r="N128" s="40">
        <f>F128-жовтень!F128</f>
        <v>979.8100000000004</v>
      </c>
      <c r="O128" s="53">
        <f aca="true" t="shared" si="45" ref="O128:O135">N128-M128</f>
        <v>-998.6899999999996</v>
      </c>
      <c r="P128" s="60">
        <f>N128/M128*100</f>
        <v>49.522870861763984</v>
      </c>
      <c r="Q128" s="60">
        <f>N128-2097.7</f>
        <v>-1117.8899999999994</v>
      </c>
      <c r="R128" s="162">
        <f>N128/2097.7</f>
        <v>0.46708776278781544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1.47</v>
      </c>
      <c r="G129" s="49">
        <f t="shared" si="43"/>
        <v>1.47</v>
      </c>
      <c r="H129" s="40"/>
      <c r="I129" s="60">
        <f t="shared" si="44"/>
        <v>1.47</v>
      </c>
      <c r="J129" s="60"/>
      <c r="K129" s="60">
        <f>F129-0.8</f>
        <v>0.6699999999999999</v>
      </c>
      <c r="L129" s="138">
        <f>F129/0.8</f>
        <v>1.8375</v>
      </c>
      <c r="M129" s="40">
        <f>E129-жовтень!E129</f>
        <v>0</v>
      </c>
      <c r="N129" s="40">
        <f>F129-жовтень!F129</f>
        <v>0.17999999999999994</v>
      </c>
      <c r="O129" s="53">
        <f t="shared" si="45"/>
        <v>0.17999999999999994</v>
      </c>
      <c r="P129" s="60"/>
      <c r="Q129" s="60">
        <f>N129-(-0.3)</f>
        <v>0.4799999999999999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8414.73</v>
      </c>
      <c r="G130" s="62">
        <f t="shared" si="43"/>
        <v>-326.630000000001</v>
      </c>
      <c r="H130" s="72">
        <f>F130/E130*100</f>
        <v>96.26339608481975</v>
      </c>
      <c r="I130" s="61">
        <f t="shared" si="44"/>
        <v>-335.97000000000116</v>
      </c>
      <c r="J130" s="61">
        <f>F130/D130*100</f>
        <v>96.16065000514243</v>
      </c>
      <c r="K130" s="61">
        <f>F130-10959.2</f>
        <v>-2544.470000000001</v>
      </c>
      <c r="L130" s="139">
        <f>G130/10959.2</f>
        <v>-0.02980418278706484</v>
      </c>
      <c r="M130" s="62">
        <f>M125+M128+M129+M127</f>
        <v>1982.5</v>
      </c>
      <c r="N130" s="62">
        <f>N125+N128+N129+N127</f>
        <v>979.9900000000004</v>
      </c>
      <c r="O130" s="61">
        <f t="shared" si="45"/>
        <v>-1002.5099999999996</v>
      </c>
      <c r="P130" s="61">
        <f>N130/M130*100</f>
        <v>49.432030264817165</v>
      </c>
      <c r="Q130" s="61">
        <f>N130-2098.3</f>
        <v>-1118.31</v>
      </c>
      <c r="R130" s="137">
        <f>N130/2098.3</f>
        <v>0.46703998474955927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34.05</v>
      </c>
      <c r="G131" s="49">
        <f>F131-E131</f>
        <v>9.799999999999997</v>
      </c>
      <c r="H131" s="40">
        <f>F131/E131*100</f>
        <v>140.41237113402062</v>
      </c>
      <c r="I131" s="60">
        <f>F131-D131</f>
        <v>4.049999999999997</v>
      </c>
      <c r="J131" s="60">
        <f>F131/D131*100</f>
        <v>113.5</v>
      </c>
      <c r="K131" s="60">
        <f>F131-28.2</f>
        <v>5.849999999999998</v>
      </c>
      <c r="L131" s="138">
        <f>F131/28.2</f>
        <v>1.2074468085106382</v>
      </c>
      <c r="M131" s="40">
        <f>E131-жовтень!E131</f>
        <v>0.3999999999999986</v>
      </c>
      <c r="N131" s="40">
        <f>F131-жовтень!F131</f>
        <v>1.019999999999996</v>
      </c>
      <c r="O131" s="53">
        <f>N131-M131</f>
        <v>0.6199999999999974</v>
      </c>
      <c r="P131" s="60">
        <f>N131/M131*100</f>
        <v>254.9999999999999</v>
      </c>
      <c r="Q131" s="60">
        <f>N131-0.2</f>
        <v>0.8199999999999961</v>
      </c>
      <c r="R131" s="138">
        <f>N131/0.2</f>
        <v>5.09999999999998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E132-жовтень!E132</f>
        <v>0</v>
      </c>
      <c r="N132" s="40">
        <f>F132-жовтень!F132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E133-жовтень!E133</f>
        <v>0</v>
      </c>
      <c r="N133" s="40">
        <f>F133-жовтень!F133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97754.47</v>
      </c>
      <c r="G134" s="50">
        <f t="shared" si="43"/>
        <v>-9044.459999999992</v>
      </c>
      <c r="H134" s="51">
        <f>F134/E134*100</f>
        <v>91.531319648989</v>
      </c>
      <c r="I134" s="36">
        <f t="shared" si="44"/>
        <v>-17036.15000000001</v>
      </c>
      <c r="J134" s="36">
        <f>F134/D134*100</f>
        <v>85.15893546005762</v>
      </c>
      <c r="K134" s="36">
        <f>F134-108511.5</f>
        <v>-10757.029999999999</v>
      </c>
      <c r="L134" s="136">
        <f>F134/108511.5</f>
        <v>0.9008673735041908</v>
      </c>
      <c r="M134" s="31">
        <f>M117+M131+M124+M130+M133+M132</f>
        <v>14117.180000000008</v>
      </c>
      <c r="N134" s="31">
        <f>N117+N131+N124+N130+N133+N132</f>
        <v>14759.750000000005</v>
      </c>
      <c r="O134" s="36">
        <f t="shared" si="45"/>
        <v>642.5699999999979</v>
      </c>
      <c r="P134" s="36">
        <f>N134/M134*100</f>
        <v>104.55168808501413</v>
      </c>
      <c r="Q134" s="36">
        <f>N134-12149.2</f>
        <v>2610.5500000000047</v>
      </c>
      <c r="R134" s="136">
        <f>N134/12149.2</f>
        <v>1.2148742304020022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538398.15</v>
      </c>
      <c r="G135" s="50">
        <f t="shared" si="43"/>
        <v>-14966.009999999893</v>
      </c>
      <c r="H135" s="51">
        <f>F135/E135*100</f>
        <v>97.29545007034791</v>
      </c>
      <c r="I135" s="36">
        <f t="shared" si="44"/>
        <v>-83272.06999999995</v>
      </c>
      <c r="J135" s="36">
        <f>F135/D135*100</f>
        <v>86.6051055171985</v>
      </c>
      <c r="K135" s="36">
        <f>F135-547461.7</f>
        <v>-9063.54999999993</v>
      </c>
      <c r="L135" s="136">
        <f>F135/547461.7</f>
        <v>0.9834444126411036</v>
      </c>
      <c r="M135" s="22">
        <f>M107+M134</f>
        <v>55955.07000000003</v>
      </c>
      <c r="N135" s="22">
        <f>N107+N134</f>
        <v>55833.190000000024</v>
      </c>
      <c r="O135" s="36">
        <f t="shared" si="45"/>
        <v>-121.88000000000466</v>
      </c>
      <c r="P135" s="36">
        <f>N135/M135*100</f>
        <v>99.7821823831156</v>
      </c>
      <c r="Q135" s="36">
        <f>N135-53205.8</f>
        <v>2627.3900000000212</v>
      </c>
      <c r="R135" s="136">
        <f>N135/53205.8</f>
        <v>1.0493816463618633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41971</v>
      </c>
      <c r="D139" s="39">
        <v>5899.1</v>
      </c>
      <c r="N139" s="194"/>
      <c r="O139" s="194"/>
    </row>
    <row r="140" spans="3:15" ht="15.75">
      <c r="C140" s="120">
        <v>41970</v>
      </c>
      <c r="D140" s="39">
        <v>3541.6</v>
      </c>
      <c r="F140" s="4" t="s">
        <v>166</v>
      </c>
      <c r="G140" s="190" t="s">
        <v>151</v>
      </c>
      <c r="H140" s="190"/>
      <c r="I140" s="115">
        <v>8909.73221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41969</v>
      </c>
      <c r="D141" s="39">
        <v>1246.3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120388.97812999999</v>
      </c>
      <c r="E143" s="80"/>
      <c r="F143" s="100" t="s">
        <v>147</v>
      </c>
      <c r="G143" s="190" t="s">
        <v>149</v>
      </c>
      <c r="H143" s="190"/>
      <c r="I143" s="116">
        <v>111479.24591999999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11457.696189999997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187</v>
      </c>
      <c r="E3" s="46"/>
      <c r="F3" s="230" t="s">
        <v>107</v>
      </c>
      <c r="G3" s="231"/>
      <c r="H3" s="231"/>
      <c r="I3" s="231"/>
      <c r="J3" s="232"/>
      <c r="K3" s="123"/>
      <c r="L3" s="123"/>
      <c r="M3" s="233" t="s">
        <v>190</v>
      </c>
      <c r="N3" s="224" t="s">
        <v>185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191</v>
      </c>
      <c r="F4" s="225" t="s">
        <v>116</v>
      </c>
      <c r="G4" s="227" t="s">
        <v>167</v>
      </c>
      <c r="H4" s="206" t="s">
        <v>168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3"/>
      <c r="N4" s="200" t="s">
        <v>194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184</v>
      </c>
      <c r="L5" s="198"/>
      <c r="M5" s="233"/>
      <c r="N5" s="201"/>
      <c r="O5" s="223"/>
      <c r="P5" s="224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192</v>
      </c>
      <c r="E3" s="46"/>
      <c r="F3" s="230" t="s">
        <v>107</v>
      </c>
      <c r="G3" s="231"/>
      <c r="H3" s="231"/>
      <c r="I3" s="231"/>
      <c r="J3" s="232"/>
      <c r="K3" s="123"/>
      <c r="L3" s="123"/>
      <c r="M3" s="208" t="s">
        <v>200</v>
      </c>
      <c r="N3" s="224" t="s">
        <v>178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153</v>
      </c>
      <c r="F4" s="225" t="s">
        <v>116</v>
      </c>
      <c r="G4" s="227" t="s">
        <v>175</v>
      </c>
      <c r="H4" s="206" t="s">
        <v>176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6"/>
      <c r="N4" s="200" t="s">
        <v>186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177</v>
      </c>
      <c r="L5" s="198"/>
      <c r="M5" s="209"/>
      <c r="N5" s="201"/>
      <c r="O5" s="223"/>
      <c r="P5" s="224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9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03" sqref="F10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282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285</v>
      </c>
      <c r="L4" s="196"/>
      <c r="M4" s="216"/>
      <c r="N4" s="200" t="s">
        <v>289</v>
      </c>
      <c r="O4" s="202" t="s">
        <v>136</v>
      </c>
      <c r="P4" s="202" t="s">
        <v>135</v>
      </c>
      <c r="Q4" s="195" t="s">
        <v>287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278</v>
      </c>
      <c r="F5" s="219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838.5</v>
      </c>
      <c r="G102" s="144"/>
      <c r="H102" s="146"/>
      <c r="I102" s="145"/>
      <c r="J102" s="145"/>
      <c r="K102" s="148">
        <f>F102-647.5</f>
        <v>191</v>
      </c>
      <c r="L102" s="149">
        <f>F102/647.5</f>
        <v>1.294980694980695</v>
      </c>
      <c r="M102" s="40">
        <f>E102-вересень!E102</f>
        <v>0</v>
      </c>
      <c r="N102" s="40">
        <f>F102-вересень!F102</f>
        <v>80.10000000000002</v>
      </c>
      <c r="O102" s="53"/>
      <c r="P102" s="60"/>
      <c r="Q102" s="60">
        <f>N102-103.3</f>
        <v>-23.199999999999974</v>
      </c>
      <c r="R102" s="138">
        <f>N102/103.3</f>
        <v>0.7754114230396905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194"/>
      <c r="O139" s="194"/>
    </row>
    <row r="140" spans="3:15" ht="15.75">
      <c r="C140" s="120">
        <v>41942</v>
      </c>
      <c r="D140" s="39">
        <v>4208.5</v>
      </c>
      <c r="F140" s="4" t="s">
        <v>166</v>
      </c>
      <c r="G140" s="190" t="s">
        <v>151</v>
      </c>
      <c r="H140" s="190"/>
      <c r="I140" s="115">
        <v>9020.6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41941</v>
      </c>
      <c r="D141" s="39">
        <v>2987.3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116647.51</v>
      </c>
      <c r="E143" s="80"/>
      <c r="F143" s="100" t="s">
        <v>147</v>
      </c>
      <c r="G143" s="190" t="s">
        <v>149</v>
      </c>
      <c r="H143" s="190"/>
      <c r="I143" s="116">
        <v>107626.91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16930.7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272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6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268</v>
      </c>
      <c r="F5" s="219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261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6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258</v>
      </c>
      <c r="F5" s="219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252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6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248</v>
      </c>
      <c r="F5" s="219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243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6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237</v>
      </c>
      <c r="F5" s="219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8909.73221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233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6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228</v>
      </c>
      <c r="F5" s="219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221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6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216</v>
      </c>
      <c r="F5" s="219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11457.696189999997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208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210</v>
      </c>
      <c r="N3" s="217" t="s">
        <v>198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6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214</v>
      </c>
      <c r="F5" s="219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2014-12-01T10:18:03Z</cp:lastPrinted>
  <dcterms:created xsi:type="dcterms:W3CDTF">2003-07-28T11:27:56Z</dcterms:created>
  <dcterms:modified xsi:type="dcterms:W3CDTF">2014-12-01T12:26:26Z</dcterms:modified>
  <cp:category/>
  <cp:version/>
  <cp:contentType/>
  <cp:contentStatus/>
</cp:coreProperties>
</file>